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-15" windowWidth="10245" windowHeight="12645"/>
  </bookViews>
  <sheets>
    <sheet name="Acumulado" sheetId="6" r:id="rId1"/>
  </sheets>
  <calcPr calcId="145621"/>
</workbook>
</file>

<file path=xl/calcChain.xml><?xml version="1.0" encoding="utf-8"?>
<calcChain xmlns="http://schemas.openxmlformats.org/spreadsheetml/2006/main">
  <c r="H13" i="6" l="1"/>
  <c r="N33" i="6" l="1"/>
  <c r="N31" i="6"/>
  <c r="N28" i="6"/>
  <c r="M29" i="6"/>
  <c r="M25" i="6"/>
  <c r="M24" i="6"/>
  <c r="M36" i="6" s="1"/>
  <c r="M38" i="6" s="1"/>
  <c r="O12" i="6"/>
  <c r="N20" i="6"/>
  <c r="N19" i="6"/>
  <c r="N18" i="6"/>
  <c r="N16" i="6"/>
  <c r="N15" i="6"/>
  <c r="N14" i="6"/>
  <c r="M21" i="6"/>
  <c r="N13" i="6"/>
  <c r="L34" i="6" l="1"/>
  <c r="L32" i="6"/>
  <c r="N32" i="6" s="1"/>
  <c r="L36" i="6"/>
  <c r="L21" i="6"/>
  <c r="L38" i="6" s="1"/>
  <c r="O32" i="6" l="1"/>
  <c r="P32" i="6"/>
  <c r="K35" i="6"/>
  <c r="K34" i="6"/>
  <c r="N34" i="6" s="1"/>
  <c r="P34" i="6" s="1"/>
  <c r="K17" i="6"/>
  <c r="B29" i="6"/>
  <c r="I29" i="6"/>
  <c r="H29" i="6"/>
  <c r="F29" i="6"/>
  <c r="N29" i="6" s="1"/>
  <c r="J35" i="6"/>
  <c r="J30" i="6"/>
  <c r="N30" i="6" s="1"/>
  <c r="P30" i="6" s="1"/>
  <c r="J21" i="6"/>
  <c r="I26" i="6"/>
  <c r="O13" i="6"/>
  <c r="B36" i="6"/>
  <c r="E36" i="6"/>
  <c r="D36" i="6"/>
  <c r="O33" i="6"/>
  <c r="O31" i="6"/>
  <c r="P28" i="6"/>
  <c r="H27" i="6"/>
  <c r="F27" i="6"/>
  <c r="N27" i="6" s="1"/>
  <c r="F26" i="6"/>
  <c r="N26" i="6" s="1"/>
  <c r="H25" i="6"/>
  <c r="G25" i="6"/>
  <c r="G36" i="6" s="1"/>
  <c r="F25" i="6"/>
  <c r="N25" i="6" s="1"/>
  <c r="H24" i="6"/>
  <c r="N24" i="6" s="1"/>
  <c r="I21" i="6"/>
  <c r="H21" i="6"/>
  <c r="G21" i="6"/>
  <c r="F21" i="6"/>
  <c r="E21" i="6"/>
  <c r="D21" i="6"/>
  <c r="B21" i="6"/>
  <c r="O19" i="6"/>
  <c r="P18" i="6"/>
  <c r="P16" i="6"/>
  <c r="O15" i="6"/>
  <c r="P14" i="6"/>
  <c r="K36" i="6" l="1"/>
  <c r="K21" i="6"/>
  <c r="K38" i="6" s="1"/>
  <c r="N17" i="6"/>
  <c r="O17" i="6" s="1"/>
  <c r="J36" i="6"/>
  <c r="N35" i="6"/>
  <c r="P35" i="6" s="1"/>
  <c r="E11" i="6"/>
  <c r="F11" i="6" s="1"/>
  <c r="B38" i="6"/>
  <c r="I36" i="6"/>
  <c r="I38" i="6" s="1"/>
  <c r="G38" i="6"/>
  <c r="H36" i="6"/>
  <c r="H38" i="6" s="1"/>
  <c r="J38" i="6"/>
  <c r="P26" i="6"/>
  <c r="O14" i="6"/>
  <c r="O16" i="6"/>
  <c r="O18" i="6"/>
  <c r="O28" i="6"/>
  <c r="O30" i="6"/>
  <c r="P13" i="6"/>
  <c r="P15" i="6"/>
  <c r="P19" i="6"/>
  <c r="P31" i="6"/>
  <c r="P33" i="6"/>
  <c r="F36" i="6"/>
  <c r="F38" i="6" s="1"/>
  <c r="P17" i="6" l="1"/>
  <c r="N21" i="6"/>
  <c r="O21" i="6" s="1"/>
  <c r="O35" i="6"/>
  <c r="O26" i="6"/>
  <c r="P21" i="6"/>
  <c r="G11" i="6"/>
  <c r="H11" i="6" s="1"/>
  <c r="I11" i="6" s="1"/>
  <c r="J11" i="6" s="1"/>
  <c r="K11" i="6" s="1"/>
  <c r="L11" i="6" s="1"/>
  <c r="M11" i="6" s="1"/>
  <c r="O29" i="6"/>
  <c r="P29" i="6"/>
  <c r="P24" i="6"/>
  <c r="O24" i="6"/>
  <c r="O25" i="6"/>
  <c r="P25" i="6"/>
  <c r="O27" i="6"/>
  <c r="P27" i="6"/>
  <c r="N36" i="6"/>
  <c r="N38" i="6" l="1"/>
  <c r="O38" i="6" s="1"/>
  <c r="O36" i="6"/>
  <c r="P36" i="6"/>
</calcChain>
</file>

<file path=xl/sharedStrings.xml><?xml version="1.0" encoding="utf-8"?>
<sst xmlns="http://schemas.openxmlformats.org/spreadsheetml/2006/main" count="111" uniqueCount="63">
  <si>
    <t>PRESUPUESTO 2015</t>
  </si>
  <si>
    <t>Ene.</t>
  </si>
  <si>
    <t>Feb.</t>
  </si>
  <si>
    <t>Mar.</t>
  </si>
  <si>
    <t>Abr.</t>
  </si>
  <si>
    <t>Jun.</t>
  </si>
  <si>
    <t>Jul.</t>
  </si>
  <si>
    <t>Ago.</t>
  </si>
  <si>
    <t>May</t>
  </si>
  <si>
    <t>Sep.</t>
  </si>
  <si>
    <t>Total</t>
  </si>
  <si>
    <t>Aporte Socios</t>
  </si>
  <si>
    <t xml:space="preserve"> </t>
  </si>
  <si>
    <t>Coopeuch</t>
  </si>
  <si>
    <t>VTR</t>
  </si>
  <si>
    <t>MOVISTAR</t>
  </si>
  <si>
    <t>FALP</t>
  </si>
  <si>
    <t>Total x Mes</t>
  </si>
  <si>
    <t>Egresos</t>
  </si>
  <si>
    <t>Sueldo Secretaria</t>
  </si>
  <si>
    <t>Ap. Socios ANEF</t>
  </si>
  <si>
    <t>Honor. Abogado</t>
  </si>
  <si>
    <t>Honor. Web</t>
  </si>
  <si>
    <t>Regalo Aniversar.</t>
  </si>
  <si>
    <t>Regionales</t>
  </si>
  <si>
    <t>Real</t>
  </si>
  <si>
    <t>Superavit</t>
  </si>
  <si>
    <t>Ingresos Directos</t>
  </si>
  <si>
    <t>Presupuesto</t>
  </si>
  <si>
    <t>Ppto. 2015</t>
  </si>
  <si>
    <t>Totales</t>
  </si>
  <si>
    <t>COOPEUCH Socios</t>
  </si>
  <si>
    <t>COOPEUCH Ptmos.</t>
  </si>
  <si>
    <t>INGRESOS</t>
  </si>
  <si>
    <t>Caja</t>
  </si>
  <si>
    <t>ENE.</t>
  </si>
  <si>
    <t>FEB.</t>
  </si>
  <si>
    <t>MAR.</t>
  </si>
  <si>
    <t>ABR.</t>
  </si>
  <si>
    <t>MAY.</t>
  </si>
  <si>
    <t>JUN.</t>
  </si>
  <si>
    <t>JUL.</t>
  </si>
  <si>
    <t>Acumulados</t>
  </si>
  <si>
    <t>Ejecución</t>
  </si>
  <si>
    <t>%</t>
  </si>
  <si>
    <t>Presupuestaria</t>
  </si>
  <si>
    <t>Déficit</t>
  </si>
  <si>
    <t>Honor. Administr.</t>
  </si>
  <si>
    <t>Ampliado</t>
  </si>
  <si>
    <t>AGO.</t>
  </si>
  <si>
    <t>Publicidad Página Web</t>
  </si>
  <si>
    <t>SEP.</t>
  </si>
  <si>
    <t>OCT.</t>
  </si>
  <si>
    <t>Ene-Oct</t>
  </si>
  <si>
    <t>(10/12)</t>
  </si>
  <si>
    <t>Observaciones del Administrador:</t>
  </si>
  <si>
    <t xml:space="preserve">superavit de $ 6.397.636.- que representa un 94,5% del resultado de 6.772.431.- que tenemos presupuestado lograr durante todo el año 2015. </t>
  </si>
  <si>
    <r>
      <rPr>
        <b/>
        <sz val="11"/>
        <color rgb="FF000000"/>
        <rFont val="Calibri"/>
        <family val="2"/>
      </rPr>
      <t>Superávit</t>
    </r>
    <r>
      <rPr>
        <sz val="11"/>
        <color rgb="FF000000"/>
        <rFont val="Calibri"/>
      </rPr>
      <t>: Nuestro proceso de ordenamiento y saneamiento de las cuentas de la Asociación esta superando los resultados esperados, considerando que hasta octubre hemos logrado un</t>
    </r>
  </si>
  <si>
    <r>
      <rPr>
        <b/>
        <sz val="11"/>
        <color rgb="FF000000"/>
        <rFont val="Calibri"/>
        <family val="2"/>
      </rPr>
      <t>Egresos</t>
    </r>
    <r>
      <rPr>
        <sz val="11"/>
        <color rgb="FF000000"/>
        <rFont val="Calibri"/>
      </rPr>
      <t>: Los mayores ingresos obtenidos, se han ido traduciendo de inmediato, en aplicarlos a financiar algunas necesidades Gremiales como la visita de nuestra Directiva Nacional a todas</t>
    </r>
  </si>
  <si>
    <r>
      <rPr>
        <b/>
        <sz val="11"/>
        <color rgb="FF000000"/>
        <rFont val="Calibri"/>
        <family val="2"/>
      </rPr>
      <t>Ingresos</t>
    </r>
    <r>
      <rPr>
        <sz val="11"/>
        <color rgb="FF000000"/>
        <rFont val="Calibri"/>
      </rPr>
      <t xml:space="preserve">: Justifican estos mejores resultados, principalmente los mayores "Ingresos Directos" obtenidos hasta octubre por $ 23.126.244.-; donde se ha logrado recaudar más de lo presupuestado </t>
    </r>
  </si>
  <si>
    <t xml:space="preserve">en este item para todo el año 2015. Esto obedece a la normalización de nuestros procesos de descuentos y de cobranzas, para los valores no descontado y cobrado en períodos anteriores. </t>
  </si>
  <si>
    <t>tres últimos item de egresos.</t>
  </si>
  <si>
    <t>las Direcciones Regionales, el Ampliado Nacional realizado en Santiago, regalos del año anterior y de Fiestas Patrias, prestamos de emergencia y otros; los cuales se encuentran reflejados en 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</si>
</sst>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00B05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6" borderId="0" xfId="0" applyFill="1" applyBorder="1"/>
    <xf numFmtId="0" fontId="0" fillId="7" borderId="1" xfId="0" applyFill="1" applyBorder="1"/>
    <xf numFmtId="164" fontId="0" fillId="7" borderId="1" xfId="0" applyNumberFormat="1" applyFill="1" applyBorder="1"/>
    <xf numFmtId="0" fontId="0" fillId="2" borderId="0" xfId="0" applyFill="1" applyAlignment="1">
      <alignment vertical="top"/>
    </xf>
    <xf numFmtId="0" fontId="1" fillId="4" borderId="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165" fontId="1" fillId="4" borderId="10" xfId="2" applyNumberFormat="1" applyFont="1" applyFill="1" applyBorder="1" applyAlignment="1">
      <alignment horizontal="center"/>
    </xf>
    <xf numFmtId="165" fontId="0" fillId="2" borderId="0" xfId="2" applyNumberFormat="1" applyFont="1" applyFill="1" applyAlignment="1">
      <alignment horizontal="center"/>
    </xf>
    <xf numFmtId="164" fontId="4" fillId="5" borderId="16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164" fontId="4" fillId="5" borderId="16" xfId="1" applyNumberFormat="1" applyFont="1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center"/>
    </xf>
    <xf numFmtId="164" fontId="0" fillId="5" borderId="9" xfId="1" applyNumberFormat="1" applyFont="1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164" fontId="0" fillId="5" borderId="10" xfId="1" applyNumberFormat="1" applyFont="1" applyFill="1" applyBorder="1" applyAlignment="1">
      <alignment horizontal="center"/>
    </xf>
    <xf numFmtId="164" fontId="0" fillId="2" borderId="8" xfId="0" applyNumberFormat="1" applyFill="1" applyBorder="1"/>
    <xf numFmtId="164" fontId="0" fillId="2" borderId="9" xfId="0" applyNumberFormat="1" applyFill="1" applyBorder="1"/>
    <xf numFmtId="164" fontId="4" fillId="5" borderId="17" xfId="1" applyNumberFormat="1" applyFont="1" applyFill="1" applyBorder="1" applyAlignment="1">
      <alignment horizontal="center"/>
    </xf>
    <xf numFmtId="165" fontId="0" fillId="2" borderId="6" xfId="2" applyNumberFormat="1" applyFont="1" applyFill="1" applyBorder="1" applyAlignment="1">
      <alignment horizontal="center"/>
    </xf>
    <xf numFmtId="164" fontId="0" fillId="2" borderId="6" xfId="0" applyNumberFormat="1" applyFill="1" applyBorder="1"/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left"/>
    </xf>
    <xf numFmtId="164" fontId="0" fillId="5" borderId="9" xfId="1" applyNumberFormat="1" applyFont="1" applyFill="1" applyBorder="1" applyAlignment="1">
      <alignment horizontal="left"/>
    </xf>
    <xf numFmtId="164" fontId="0" fillId="5" borderId="10" xfId="1" applyNumberFormat="1" applyFont="1" applyFill="1" applyBorder="1" applyAlignment="1">
      <alignment horizontal="left"/>
    </xf>
    <xf numFmtId="164" fontId="0" fillId="2" borderId="10" xfId="0" applyNumberFormat="1" applyFill="1" applyBorder="1"/>
    <xf numFmtId="164" fontId="2" fillId="2" borderId="6" xfId="0" applyNumberFormat="1" applyFont="1" applyFill="1" applyBorder="1"/>
    <xf numFmtId="164" fontId="0" fillId="5" borderId="11" xfId="1" applyNumberFormat="1" applyFont="1" applyFill="1" applyBorder="1" applyAlignment="1">
      <alignment horizontal="center"/>
    </xf>
    <xf numFmtId="164" fontId="0" fillId="5" borderId="5" xfId="1" applyNumberFormat="1" applyFont="1" applyFill="1" applyBorder="1" applyAlignment="1">
      <alignment horizontal="center"/>
    </xf>
    <xf numFmtId="164" fontId="0" fillId="5" borderId="14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left"/>
    </xf>
    <xf numFmtId="164" fontId="2" fillId="5" borderId="16" xfId="1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164" fontId="3" fillId="5" borderId="9" xfId="1" applyNumberFormat="1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164" fontId="1" fillId="10" borderId="9" xfId="1" applyNumberFormat="1" applyFont="1" applyFill="1" applyBorder="1" applyAlignment="1">
      <alignment horizontal="center"/>
    </xf>
    <xf numFmtId="164" fontId="1" fillId="10" borderId="9" xfId="0" applyNumberFormat="1" applyFont="1" applyFill="1" applyBorder="1" applyAlignment="1">
      <alignment horizontal="center"/>
    </xf>
    <xf numFmtId="164" fontId="1" fillId="10" borderId="0" xfId="0" applyNumberFormat="1" applyFont="1" applyFill="1" applyBorder="1" applyAlignment="1">
      <alignment horizontal="center"/>
    </xf>
    <xf numFmtId="165" fontId="0" fillId="2" borderId="12" xfId="2" applyNumberFormat="1" applyFont="1" applyFill="1" applyBorder="1" applyAlignment="1">
      <alignment horizontal="center"/>
    </xf>
    <xf numFmtId="165" fontId="0" fillId="2" borderId="13" xfId="2" applyNumberFormat="1" applyFont="1" applyFill="1" applyBorder="1" applyAlignment="1">
      <alignment horizontal="center"/>
    </xf>
    <xf numFmtId="165" fontId="0" fillId="2" borderId="15" xfId="2" applyNumberFormat="1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64" fontId="0" fillId="10" borderId="1" xfId="0" applyNumberFormat="1" applyFill="1" applyBorder="1"/>
    <xf numFmtId="0" fontId="0" fillId="10" borderId="1" xfId="0" applyFill="1" applyBorder="1"/>
    <xf numFmtId="164" fontId="2" fillId="5" borderId="17" xfId="1" applyNumberFormat="1" applyFont="1" applyFill="1" applyBorder="1" applyAlignment="1">
      <alignment horizontal="center"/>
    </xf>
    <xf numFmtId="164" fontId="0" fillId="8" borderId="9" xfId="0" applyNumberFormat="1" applyFill="1" applyBorder="1"/>
    <xf numFmtId="164" fontId="5" fillId="5" borderId="9" xfId="1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5" fontId="0" fillId="2" borderId="4" xfId="2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5</xdr:row>
      <xdr:rowOff>164027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0"/>
          <a:ext cx="1047750" cy="1116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48"/>
  <sheetViews>
    <sheetView tabSelected="1" workbookViewId="0">
      <selection activeCell="K38" sqref="K38"/>
    </sheetView>
  </sheetViews>
  <sheetFormatPr baseColWidth="10" defaultColWidth="9.140625" defaultRowHeight="15" x14ac:dyDescent="0.25"/>
  <cols>
    <col min="1" max="1" width="5.7109375" customWidth="1"/>
    <col min="2" max="2" width="15.7109375" customWidth="1"/>
    <col min="3" max="3" width="20.7109375" customWidth="1"/>
    <col min="4" max="13" width="11.7109375" customWidth="1"/>
    <col min="14" max="14" width="12.7109375" customWidth="1"/>
    <col min="15" max="15" width="13.28515625" customWidth="1"/>
    <col min="16" max="16" width="12.7109375" customWidth="1"/>
  </cols>
  <sheetData>
    <row r="3" spans="1:17" x14ac:dyDescent="0.25"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1"/>
    </row>
    <row r="4" spans="1:17" x14ac:dyDescent="0.25"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1"/>
      <c r="O4" s="1"/>
      <c r="P4" s="1"/>
      <c r="Q4" s="1"/>
    </row>
    <row r="5" spans="1:17" x14ac:dyDescent="0.25"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1"/>
      <c r="O5" s="1"/>
      <c r="P5" s="1"/>
      <c r="Q5" s="1"/>
    </row>
    <row r="6" spans="1:17" x14ac:dyDescent="0.25"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1"/>
      <c r="O6" s="1"/>
      <c r="P6" s="1"/>
      <c r="Q6" s="1"/>
    </row>
    <row r="7" spans="1:17" x14ac:dyDescent="0.25"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1"/>
      <c r="O7" s="1"/>
      <c r="P7" s="1"/>
      <c r="Q7" s="1"/>
    </row>
    <row r="8" spans="1:17" x14ac:dyDescent="0.25">
      <c r="B8" s="7" t="s">
        <v>28</v>
      </c>
      <c r="C8" s="7" t="s">
        <v>33</v>
      </c>
      <c r="D8" s="7" t="s">
        <v>35</v>
      </c>
      <c r="E8" s="7" t="s">
        <v>36</v>
      </c>
      <c r="F8" s="7" t="s">
        <v>37</v>
      </c>
      <c r="G8" s="7" t="s">
        <v>38</v>
      </c>
      <c r="H8" s="7" t="s">
        <v>39</v>
      </c>
      <c r="I8" s="7" t="s">
        <v>40</v>
      </c>
      <c r="J8" s="7" t="s">
        <v>41</v>
      </c>
      <c r="K8" s="43" t="s">
        <v>49</v>
      </c>
      <c r="L8" s="7" t="s">
        <v>51</v>
      </c>
      <c r="M8" s="7" t="s">
        <v>52</v>
      </c>
      <c r="N8" s="7" t="s">
        <v>30</v>
      </c>
      <c r="O8" s="7" t="s">
        <v>44</v>
      </c>
      <c r="P8" s="7" t="s">
        <v>12</v>
      </c>
      <c r="Q8" s="1"/>
    </row>
    <row r="9" spans="1:17" x14ac:dyDescent="0.25">
      <c r="B9" s="8">
        <v>2015</v>
      </c>
      <c r="C9" s="8"/>
      <c r="D9" s="8" t="s">
        <v>25</v>
      </c>
      <c r="E9" s="8" t="s">
        <v>25</v>
      </c>
      <c r="F9" s="8" t="s">
        <v>25</v>
      </c>
      <c r="G9" s="8" t="s">
        <v>25</v>
      </c>
      <c r="H9" s="8" t="s">
        <v>25</v>
      </c>
      <c r="I9" s="8" t="s">
        <v>25</v>
      </c>
      <c r="J9" s="8" t="s">
        <v>25</v>
      </c>
      <c r="K9" s="6" t="s">
        <v>25</v>
      </c>
      <c r="L9" s="8" t="s">
        <v>25</v>
      </c>
      <c r="M9" s="8" t="s">
        <v>25</v>
      </c>
      <c r="N9" s="8" t="s">
        <v>42</v>
      </c>
      <c r="O9" s="8" t="s">
        <v>43</v>
      </c>
      <c r="P9" s="44" t="s">
        <v>26</v>
      </c>
      <c r="Q9" s="1"/>
    </row>
    <row r="10" spans="1:17" x14ac:dyDescent="0.25">
      <c r="B10" s="8"/>
      <c r="C10" s="8"/>
      <c r="D10" s="8"/>
      <c r="E10" s="8"/>
      <c r="F10" s="8"/>
      <c r="G10" s="8"/>
      <c r="H10" s="8"/>
      <c r="I10" s="8"/>
      <c r="J10" s="8"/>
      <c r="K10" s="6"/>
      <c r="L10" s="8"/>
      <c r="M10" s="8"/>
      <c r="N10" s="8" t="s">
        <v>53</v>
      </c>
      <c r="O10" s="8" t="s">
        <v>45</v>
      </c>
      <c r="P10" s="10" t="s">
        <v>46</v>
      </c>
      <c r="Q10" s="1"/>
    </row>
    <row r="11" spans="1:17" x14ac:dyDescent="0.25">
      <c r="B11" s="8"/>
      <c r="C11" s="44" t="s">
        <v>34</v>
      </c>
      <c r="D11" s="45">
        <v>24001</v>
      </c>
      <c r="E11" s="46">
        <f>+D11+D21-D36</f>
        <v>13332272</v>
      </c>
      <c r="F11" s="46">
        <f t="shared" ref="F11:M11" si="0">+E11+E21-E36</f>
        <v>26651939</v>
      </c>
      <c r="G11" s="46">
        <f t="shared" si="0"/>
        <v>3025557</v>
      </c>
      <c r="H11" s="46">
        <f t="shared" si="0"/>
        <v>10825398</v>
      </c>
      <c r="I11" s="46">
        <f t="shared" si="0"/>
        <v>7588459</v>
      </c>
      <c r="J11" s="46">
        <f t="shared" si="0"/>
        <v>4977864</v>
      </c>
      <c r="K11" s="47">
        <f t="shared" si="0"/>
        <v>5722416</v>
      </c>
      <c r="L11" s="46">
        <f t="shared" si="0"/>
        <v>6378471</v>
      </c>
      <c r="M11" s="46">
        <f t="shared" si="0"/>
        <v>6119339</v>
      </c>
      <c r="N11" s="8" t="s">
        <v>12</v>
      </c>
      <c r="O11" s="8" t="s">
        <v>54</v>
      </c>
      <c r="P11" s="8" t="s">
        <v>12</v>
      </c>
      <c r="Q11" s="1"/>
    </row>
    <row r="12" spans="1:17" x14ac:dyDescent="0.25">
      <c r="B12" s="9"/>
      <c r="C12" s="9"/>
      <c r="D12" s="9"/>
      <c r="E12" s="9"/>
      <c r="F12" s="9"/>
      <c r="G12" s="9"/>
      <c r="H12" s="9"/>
      <c r="I12" s="8"/>
      <c r="J12" s="9"/>
      <c r="K12" s="6"/>
      <c r="L12" s="8"/>
      <c r="M12" s="8"/>
      <c r="N12" s="8"/>
      <c r="O12" s="11">
        <f>(10/12)</f>
        <v>0.83333333333333337</v>
      </c>
      <c r="P12" s="9"/>
      <c r="Q12" s="1"/>
    </row>
    <row r="13" spans="1:17" x14ac:dyDescent="0.25">
      <c r="A13">
        <v>254</v>
      </c>
      <c r="B13" s="16">
        <v>7574917</v>
      </c>
      <c r="C13" s="19" t="s">
        <v>11</v>
      </c>
      <c r="D13" s="16">
        <v>627070</v>
      </c>
      <c r="E13" s="16">
        <v>632833</v>
      </c>
      <c r="F13" s="16">
        <v>633493</v>
      </c>
      <c r="G13" s="16">
        <v>644489</v>
      </c>
      <c r="H13" s="36">
        <f>627032-2749</f>
        <v>624283</v>
      </c>
      <c r="I13" s="36">
        <v>637570</v>
      </c>
      <c r="J13" s="36">
        <v>637850</v>
      </c>
      <c r="K13" s="36">
        <v>660511</v>
      </c>
      <c r="L13" s="36">
        <v>669533</v>
      </c>
      <c r="M13" s="36">
        <v>674545</v>
      </c>
      <c r="N13" s="16">
        <f>SUM(D13:M13)</f>
        <v>6442177</v>
      </c>
      <c r="O13" s="48">
        <f>+N13/B13</f>
        <v>0.85046172783147322</v>
      </c>
      <c r="P13" s="22">
        <f>+B13-N13</f>
        <v>1132740</v>
      </c>
      <c r="Q13" s="1"/>
    </row>
    <row r="14" spans="1:17" x14ac:dyDescent="0.25">
      <c r="A14">
        <v>162</v>
      </c>
      <c r="B14" s="17">
        <v>9677683</v>
      </c>
      <c r="C14" s="20" t="s">
        <v>31</v>
      </c>
      <c r="D14" s="17">
        <v>769570</v>
      </c>
      <c r="E14" s="17">
        <v>785095</v>
      </c>
      <c r="F14" s="17">
        <v>821101</v>
      </c>
      <c r="G14" s="17">
        <v>821101</v>
      </c>
      <c r="H14" s="37">
        <v>810816</v>
      </c>
      <c r="I14" s="37">
        <v>764746</v>
      </c>
      <c r="J14" s="37">
        <v>783706</v>
      </c>
      <c r="K14" s="37">
        <v>783706</v>
      </c>
      <c r="L14" s="37">
        <v>795556</v>
      </c>
      <c r="M14" s="37">
        <v>776596</v>
      </c>
      <c r="N14" s="17">
        <f t="shared" ref="N14:N20" si="1">SUM(D14:M14)</f>
        <v>7911993</v>
      </c>
      <c r="O14" s="49">
        <f t="shared" ref="O14:O38" si="2">+N14/B14</f>
        <v>0.81755033720364678</v>
      </c>
      <c r="P14" s="23">
        <f t="shared" ref="P14:P19" si="3">+B14-N14</f>
        <v>1765690</v>
      </c>
      <c r="Q14" s="1"/>
    </row>
    <row r="15" spans="1:17" x14ac:dyDescent="0.25">
      <c r="A15">
        <v>163</v>
      </c>
      <c r="B15" s="17">
        <v>29849281</v>
      </c>
      <c r="C15" s="20" t="s">
        <v>32</v>
      </c>
      <c r="D15" s="17">
        <v>2605321</v>
      </c>
      <c r="E15" s="17">
        <v>2322012</v>
      </c>
      <c r="F15" s="17">
        <v>2375258</v>
      </c>
      <c r="G15" s="17">
        <v>2572602</v>
      </c>
      <c r="H15" s="37">
        <v>2474088</v>
      </c>
      <c r="I15" s="37">
        <v>2474088</v>
      </c>
      <c r="J15" s="37">
        <v>2682511</v>
      </c>
      <c r="K15" s="37">
        <v>2476480</v>
      </c>
      <c r="L15" s="37">
        <v>2645067</v>
      </c>
      <c r="M15" s="37">
        <v>2913873</v>
      </c>
      <c r="N15" s="17">
        <f t="shared" si="1"/>
        <v>25541300</v>
      </c>
      <c r="O15" s="49">
        <f t="shared" si="2"/>
        <v>0.85567555211798907</v>
      </c>
      <c r="P15" s="23">
        <f t="shared" si="3"/>
        <v>4307981</v>
      </c>
      <c r="Q15" s="1"/>
    </row>
    <row r="16" spans="1:17" x14ac:dyDescent="0.25">
      <c r="A16">
        <v>331</v>
      </c>
      <c r="B16" s="17">
        <v>8756823</v>
      </c>
      <c r="C16" s="20" t="s">
        <v>14</v>
      </c>
      <c r="D16" s="17">
        <v>1720900</v>
      </c>
      <c r="E16" s="17">
        <v>1763021</v>
      </c>
      <c r="F16" s="17">
        <v>1793092</v>
      </c>
      <c r="G16" s="17">
        <v>1885108</v>
      </c>
      <c r="H16" s="37">
        <v>1594702</v>
      </c>
      <c r="I16" s="37">
        <v>1371256</v>
      </c>
      <c r="J16" s="37">
        <v>0</v>
      </c>
      <c r="K16" s="37">
        <v>0</v>
      </c>
      <c r="L16" s="37">
        <v>0</v>
      </c>
      <c r="M16" s="37">
        <v>0</v>
      </c>
      <c r="N16" s="17">
        <f t="shared" si="1"/>
        <v>10128079</v>
      </c>
      <c r="O16" s="49">
        <f t="shared" si="2"/>
        <v>1.1565928647866925</v>
      </c>
      <c r="P16" s="55">
        <f t="shared" si="3"/>
        <v>-1371256</v>
      </c>
      <c r="Q16" s="1"/>
    </row>
    <row r="17" spans="1:17" x14ac:dyDescent="0.25">
      <c r="A17">
        <v>353</v>
      </c>
      <c r="B17" s="17">
        <v>76612000</v>
      </c>
      <c r="C17" s="20" t="s">
        <v>15</v>
      </c>
      <c r="D17" s="17">
        <v>6198878</v>
      </c>
      <c r="E17" s="17">
        <v>6800613</v>
      </c>
      <c r="F17" s="17">
        <v>6727878</v>
      </c>
      <c r="G17" s="17">
        <v>6513164</v>
      </c>
      <c r="H17" s="37">
        <v>6271467</v>
      </c>
      <c r="I17" s="37">
        <v>6219106</v>
      </c>
      <c r="J17" s="37">
        <v>4999647</v>
      </c>
      <c r="K17" s="37">
        <f>6122300+18329</f>
        <v>6140629</v>
      </c>
      <c r="L17" s="37">
        <v>6299071</v>
      </c>
      <c r="M17" s="37">
        <v>6267851</v>
      </c>
      <c r="N17" s="17">
        <f t="shared" si="1"/>
        <v>62438304</v>
      </c>
      <c r="O17" s="49">
        <f t="shared" si="2"/>
        <v>0.81499378687411894</v>
      </c>
      <c r="P17" s="23">
        <f t="shared" si="3"/>
        <v>14173696</v>
      </c>
      <c r="Q17" s="1"/>
    </row>
    <row r="18" spans="1:17" x14ac:dyDescent="0.25">
      <c r="A18">
        <v>354</v>
      </c>
      <c r="B18" s="17">
        <v>2937000</v>
      </c>
      <c r="C18" s="20" t="s">
        <v>16</v>
      </c>
      <c r="D18" s="17">
        <v>242000</v>
      </c>
      <c r="E18" s="17">
        <v>253000</v>
      </c>
      <c r="F18" s="17">
        <v>253000</v>
      </c>
      <c r="G18" s="17">
        <v>253000</v>
      </c>
      <c r="H18" s="37">
        <v>242000</v>
      </c>
      <c r="I18" s="37">
        <v>136000</v>
      </c>
      <c r="J18" s="37">
        <v>262500</v>
      </c>
      <c r="K18" s="37">
        <v>262500</v>
      </c>
      <c r="L18" s="37">
        <v>257000</v>
      </c>
      <c r="M18" s="37">
        <v>0</v>
      </c>
      <c r="N18" s="17">
        <f t="shared" si="1"/>
        <v>2161000</v>
      </c>
      <c r="O18" s="49">
        <f t="shared" si="2"/>
        <v>0.73578481443649979</v>
      </c>
      <c r="P18" s="23">
        <f t="shared" si="3"/>
        <v>776000</v>
      </c>
      <c r="Q18" s="1"/>
    </row>
    <row r="19" spans="1:17" x14ac:dyDescent="0.25">
      <c r="B19" s="17">
        <v>19931348</v>
      </c>
      <c r="C19" s="20" t="s">
        <v>27</v>
      </c>
      <c r="D19" s="17">
        <v>1144532</v>
      </c>
      <c r="E19" s="17">
        <v>763093</v>
      </c>
      <c r="F19" s="17">
        <v>2208897</v>
      </c>
      <c r="G19" s="17">
        <v>2867254</v>
      </c>
      <c r="H19" s="37">
        <v>2131348</v>
      </c>
      <c r="I19" s="37">
        <v>2665259</v>
      </c>
      <c r="J19" s="37">
        <v>3141247</v>
      </c>
      <c r="K19" s="37">
        <v>2217642</v>
      </c>
      <c r="L19" s="37">
        <v>2900753</v>
      </c>
      <c r="M19" s="37">
        <v>3086219</v>
      </c>
      <c r="N19" s="17">
        <f t="shared" si="1"/>
        <v>23126244</v>
      </c>
      <c r="O19" s="49">
        <f t="shared" si="2"/>
        <v>1.1602950287155691</v>
      </c>
      <c r="P19" s="55">
        <f t="shared" si="3"/>
        <v>-3194896</v>
      </c>
      <c r="Q19" s="1"/>
    </row>
    <row r="20" spans="1:17" x14ac:dyDescent="0.25">
      <c r="B20" s="51" t="s">
        <v>12</v>
      </c>
      <c r="C20" s="39" t="s">
        <v>50</v>
      </c>
      <c r="D20" s="21" t="s">
        <v>12</v>
      </c>
      <c r="E20" s="21" t="s">
        <v>12</v>
      </c>
      <c r="F20" s="21" t="s">
        <v>12</v>
      </c>
      <c r="G20" s="21" t="s">
        <v>12</v>
      </c>
      <c r="H20" s="38"/>
      <c r="I20" s="38" t="s">
        <v>12</v>
      </c>
      <c r="J20" s="38">
        <v>120000</v>
      </c>
      <c r="K20" s="38" t="s">
        <v>12</v>
      </c>
      <c r="L20" s="38">
        <v>0</v>
      </c>
      <c r="M20" s="38">
        <v>120000</v>
      </c>
      <c r="N20" s="21">
        <f t="shared" si="1"/>
        <v>240000</v>
      </c>
      <c r="O20" s="49" t="s">
        <v>12</v>
      </c>
      <c r="P20" s="55">
        <v>240000</v>
      </c>
      <c r="Q20" s="1"/>
    </row>
    <row r="21" spans="1:17" ht="15.75" thickBot="1" x14ac:dyDescent="0.3">
      <c r="B21" s="13">
        <f>SUM(B13:B20)</f>
        <v>155339052</v>
      </c>
      <c r="C21" s="14" t="s">
        <v>30</v>
      </c>
      <c r="D21" s="15">
        <f t="shared" ref="D21:N21" si="4">SUM(D13:D20)</f>
        <v>13308271</v>
      </c>
      <c r="E21" s="15">
        <f t="shared" si="4"/>
        <v>13319667</v>
      </c>
      <c r="F21" s="15">
        <f t="shared" si="4"/>
        <v>14812719</v>
      </c>
      <c r="G21" s="15">
        <f t="shared" si="4"/>
        <v>15556718</v>
      </c>
      <c r="H21" s="15">
        <f t="shared" si="4"/>
        <v>14148704</v>
      </c>
      <c r="I21" s="15">
        <f t="shared" si="4"/>
        <v>14268025</v>
      </c>
      <c r="J21" s="40">
        <f t="shared" si="4"/>
        <v>12627461</v>
      </c>
      <c r="K21" s="40">
        <f t="shared" ref="K21" si="5">SUM(K13:K20)</f>
        <v>12541468</v>
      </c>
      <c r="L21" s="40">
        <f t="shared" ref="L21" si="6">SUM(L13:L20)</f>
        <v>13566980</v>
      </c>
      <c r="M21" s="54">
        <f>SUM(M13:M20)</f>
        <v>13839084</v>
      </c>
      <c r="N21" s="24">
        <f t="shared" si="4"/>
        <v>137989097</v>
      </c>
      <c r="O21" s="25">
        <f t="shared" si="2"/>
        <v>0.88830912267959505</v>
      </c>
      <c r="P21" s="35">
        <f>+B21-N21</f>
        <v>17349955</v>
      </c>
      <c r="Q21" s="1"/>
    </row>
    <row r="22" spans="1:17" x14ac:dyDescent="0.25">
      <c r="B22" s="1"/>
      <c r="C22" s="1"/>
      <c r="D22" s="1"/>
      <c r="E22" s="1"/>
      <c r="F22" s="1"/>
      <c r="G22" s="1"/>
      <c r="H22" s="1"/>
      <c r="I22" s="1"/>
      <c r="J22" s="2"/>
      <c r="K22" s="2"/>
      <c r="L22" s="2"/>
      <c r="M22" s="2"/>
      <c r="N22" s="1"/>
      <c r="O22" s="12" t="s">
        <v>12</v>
      </c>
      <c r="P22" s="1"/>
      <c r="Q22" s="1"/>
    </row>
    <row r="23" spans="1:17" x14ac:dyDescent="0.25">
      <c r="B23" s="28" t="s">
        <v>29</v>
      </c>
      <c r="C23" s="29" t="s">
        <v>18</v>
      </c>
      <c r="D23" s="57" t="s">
        <v>1</v>
      </c>
      <c r="E23" s="58" t="s">
        <v>2</v>
      </c>
      <c r="F23" s="58" t="s">
        <v>3</v>
      </c>
      <c r="G23" s="58" t="s">
        <v>4</v>
      </c>
      <c r="H23" s="58" t="s">
        <v>8</v>
      </c>
      <c r="I23" s="58" t="s">
        <v>5</v>
      </c>
      <c r="J23" s="58" t="s">
        <v>6</v>
      </c>
      <c r="K23" s="58" t="s">
        <v>7</v>
      </c>
      <c r="L23" s="58" t="s">
        <v>9</v>
      </c>
      <c r="M23" s="59"/>
      <c r="N23" s="7" t="s">
        <v>10</v>
      </c>
      <c r="O23" s="27" t="s">
        <v>43</v>
      </c>
      <c r="P23" s="27" t="s">
        <v>12</v>
      </c>
      <c r="Q23" s="1"/>
    </row>
    <row r="24" spans="1:17" x14ac:dyDescent="0.25">
      <c r="B24" s="31">
        <v>2014148</v>
      </c>
      <c r="C24" s="19" t="s">
        <v>20</v>
      </c>
      <c r="D24" s="17" t="s">
        <v>12</v>
      </c>
      <c r="E24" s="17" t="s">
        <v>12</v>
      </c>
      <c r="F24" s="17">
        <v>436937</v>
      </c>
      <c r="G24" s="56" t="s">
        <v>12</v>
      </c>
      <c r="H24" s="37">
        <f>147211+30000</f>
        <v>177211</v>
      </c>
      <c r="I24" s="37">
        <v>289267</v>
      </c>
      <c r="J24" s="37">
        <v>147196</v>
      </c>
      <c r="K24" s="37">
        <v>156655</v>
      </c>
      <c r="L24" s="37">
        <v>154507</v>
      </c>
      <c r="M24" s="36">
        <f>155664+406944</f>
        <v>562608</v>
      </c>
      <c r="N24" s="16">
        <f>SUM(D24:M24)</f>
        <v>1924381</v>
      </c>
      <c r="O24" s="48">
        <f t="shared" si="2"/>
        <v>0.95543177561926929</v>
      </c>
      <c r="P24" s="22">
        <f t="shared" ref="P24:P36" si="7">+B24-N24</f>
        <v>89767</v>
      </c>
      <c r="Q24" s="1"/>
    </row>
    <row r="25" spans="1:17" x14ac:dyDescent="0.25">
      <c r="B25" s="32">
        <v>39915001</v>
      </c>
      <c r="C25" s="20" t="s">
        <v>13</v>
      </c>
      <c r="D25" s="17" t="s">
        <v>12</v>
      </c>
      <c r="E25" s="17"/>
      <c r="F25" s="17">
        <f>3374891+3107107+3196359</f>
        <v>9678357</v>
      </c>
      <c r="G25" s="17">
        <f>821101+2572602</f>
        <v>3393703</v>
      </c>
      <c r="H25" s="37">
        <f>764746+2278195</f>
        <v>3042941</v>
      </c>
      <c r="I25" s="37">
        <v>3238834</v>
      </c>
      <c r="J25" s="37">
        <v>3466217</v>
      </c>
      <c r="K25" s="37">
        <v>3260186</v>
      </c>
      <c r="L25" s="37">
        <v>3440623</v>
      </c>
      <c r="M25" s="37">
        <f>776596+2913873</f>
        <v>3690469</v>
      </c>
      <c r="N25" s="17">
        <f t="shared" ref="N25:N35" si="8">SUM(D25:M25)</f>
        <v>33211330</v>
      </c>
      <c r="O25" s="49">
        <f t="shared" si="2"/>
        <v>0.83205133829258826</v>
      </c>
      <c r="P25" s="23">
        <f t="shared" si="7"/>
        <v>6703671</v>
      </c>
      <c r="Q25" s="1"/>
    </row>
    <row r="26" spans="1:17" x14ac:dyDescent="0.25">
      <c r="B26" s="32">
        <v>13649668</v>
      </c>
      <c r="C26" s="20" t="s">
        <v>14</v>
      </c>
      <c r="D26" s="17" t="s">
        <v>12</v>
      </c>
      <c r="E26" s="17" t="s">
        <v>12</v>
      </c>
      <c r="F26" s="17">
        <f>2212039+2209601+2260880</f>
        <v>6682520</v>
      </c>
      <c r="G26" s="17">
        <v>2333937</v>
      </c>
      <c r="H26" s="37">
        <v>2283211</v>
      </c>
      <c r="I26" s="37">
        <f>1851303+44069</f>
        <v>1895372</v>
      </c>
      <c r="J26" s="37">
        <v>0</v>
      </c>
      <c r="K26" s="37">
        <v>0</v>
      </c>
      <c r="L26" s="37">
        <v>0</v>
      </c>
      <c r="M26" s="37">
        <v>0</v>
      </c>
      <c r="N26" s="17">
        <f t="shared" si="8"/>
        <v>13195040</v>
      </c>
      <c r="O26" s="49">
        <f t="shared" si="2"/>
        <v>0.96669310931225583</v>
      </c>
      <c r="P26" s="23">
        <f t="shared" si="7"/>
        <v>454628</v>
      </c>
      <c r="Q26" s="1"/>
    </row>
    <row r="27" spans="1:17" x14ac:dyDescent="0.25">
      <c r="B27" s="32">
        <v>78066882</v>
      </c>
      <c r="C27" s="20" t="s">
        <v>15</v>
      </c>
      <c r="D27" s="17" t="s">
        <v>12</v>
      </c>
      <c r="E27" s="17" t="s">
        <v>12</v>
      </c>
      <c r="F27" s="17">
        <f>6199878+6800613+6727878</f>
        <v>19728369</v>
      </c>
      <c r="G27" s="17" t="s">
        <v>12</v>
      </c>
      <c r="H27" s="37">
        <f>4011237+6727276</f>
        <v>10738513</v>
      </c>
      <c r="I27" s="37">
        <v>9715077</v>
      </c>
      <c r="J27" s="37">
        <v>6184967</v>
      </c>
      <c r="K27" s="37">
        <v>6093948</v>
      </c>
      <c r="L27" s="37">
        <v>8013367</v>
      </c>
      <c r="M27" s="37">
        <v>7747928</v>
      </c>
      <c r="N27" s="17">
        <f t="shared" si="8"/>
        <v>68222169</v>
      </c>
      <c r="O27" s="49">
        <f t="shared" si="2"/>
        <v>0.87389386193238772</v>
      </c>
      <c r="P27" s="23">
        <f t="shared" si="7"/>
        <v>9844713</v>
      </c>
      <c r="Q27" s="1"/>
    </row>
    <row r="28" spans="1:17" x14ac:dyDescent="0.25">
      <c r="B28" s="32">
        <v>3300000</v>
      </c>
      <c r="C28" s="20" t="s">
        <v>16</v>
      </c>
      <c r="D28" s="17" t="s">
        <v>12</v>
      </c>
      <c r="E28" s="17" t="s">
        <v>12</v>
      </c>
      <c r="F28" s="17">
        <v>825000</v>
      </c>
      <c r="G28" s="17">
        <v>275000</v>
      </c>
      <c r="H28" s="37">
        <v>275000</v>
      </c>
      <c r="I28" s="37">
        <v>273500</v>
      </c>
      <c r="J28" s="37">
        <v>290000</v>
      </c>
      <c r="K28" s="37">
        <v>295500</v>
      </c>
      <c r="L28" s="37">
        <v>257000</v>
      </c>
      <c r="M28" s="37">
        <v>0</v>
      </c>
      <c r="N28" s="17">
        <f t="shared" si="8"/>
        <v>2491000</v>
      </c>
      <c r="O28" s="49">
        <f t="shared" si="2"/>
        <v>0.75484848484848488</v>
      </c>
      <c r="P28" s="23">
        <f t="shared" si="7"/>
        <v>809000</v>
      </c>
      <c r="Q28" s="1"/>
    </row>
    <row r="29" spans="1:17" x14ac:dyDescent="0.25">
      <c r="B29" s="32">
        <f>8562495+247646-4000000</f>
        <v>4810141</v>
      </c>
      <c r="C29" s="20" t="s">
        <v>19</v>
      </c>
      <c r="D29" s="17" t="s">
        <v>12</v>
      </c>
      <c r="E29" s="17" t="s">
        <v>12</v>
      </c>
      <c r="F29" s="17">
        <f>436148+426380+125390</f>
        <v>987918</v>
      </c>
      <c r="G29" s="17">
        <v>122256</v>
      </c>
      <c r="H29" s="37">
        <f>153499+133333</f>
        <v>286832</v>
      </c>
      <c r="I29" s="37">
        <f>1336570-496526</f>
        <v>840044</v>
      </c>
      <c r="J29" s="37">
        <v>514125</v>
      </c>
      <c r="K29" s="37">
        <v>446764</v>
      </c>
      <c r="L29" s="37">
        <v>429002</v>
      </c>
      <c r="M29" s="37">
        <f>119863+443985</f>
        <v>563848</v>
      </c>
      <c r="N29" s="17">
        <f t="shared" si="8"/>
        <v>4190789</v>
      </c>
      <c r="O29" s="49">
        <f t="shared" si="2"/>
        <v>0.87124036488743262</v>
      </c>
      <c r="P29" s="23">
        <f t="shared" si="7"/>
        <v>619352</v>
      </c>
      <c r="Q29" s="1"/>
    </row>
    <row r="30" spans="1:17" x14ac:dyDescent="0.25">
      <c r="B30" s="32">
        <v>4000000</v>
      </c>
      <c r="C30" s="41" t="s">
        <v>47</v>
      </c>
      <c r="D30" s="17"/>
      <c r="E30" s="17"/>
      <c r="F30" s="42" t="s">
        <v>12</v>
      </c>
      <c r="G30" s="42" t="s">
        <v>12</v>
      </c>
      <c r="H30" s="37">
        <v>413135</v>
      </c>
      <c r="I30" s="37">
        <v>496526</v>
      </c>
      <c r="J30" s="37">
        <f>300000+200000</f>
        <v>500000</v>
      </c>
      <c r="K30" s="37">
        <v>632646</v>
      </c>
      <c r="L30" s="37">
        <v>735113</v>
      </c>
      <c r="M30" s="37">
        <v>762933</v>
      </c>
      <c r="N30" s="17">
        <f t="shared" si="8"/>
        <v>3540353</v>
      </c>
      <c r="O30" s="49">
        <f t="shared" si="2"/>
        <v>0.88508825000000002</v>
      </c>
      <c r="P30" s="23">
        <f t="shared" si="7"/>
        <v>459647</v>
      </c>
      <c r="Q30" s="1"/>
    </row>
    <row r="31" spans="1:17" x14ac:dyDescent="0.25">
      <c r="B31" s="32">
        <v>1000000</v>
      </c>
      <c r="C31" s="20" t="s">
        <v>21</v>
      </c>
      <c r="D31" s="17" t="s">
        <v>12</v>
      </c>
      <c r="E31" s="17" t="s">
        <v>12</v>
      </c>
      <c r="F31" s="17">
        <v>100000</v>
      </c>
      <c r="G31" s="17">
        <v>100000</v>
      </c>
      <c r="H31" s="37">
        <v>100000</v>
      </c>
      <c r="I31" s="37">
        <v>100000</v>
      </c>
      <c r="J31" s="37">
        <v>100000</v>
      </c>
      <c r="K31" s="37">
        <v>100000</v>
      </c>
      <c r="L31" s="37">
        <v>100000</v>
      </c>
      <c r="M31" s="37">
        <v>100000</v>
      </c>
      <c r="N31" s="17">
        <f t="shared" si="8"/>
        <v>800000</v>
      </c>
      <c r="O31" s="49">
        <f t="shared" si="2"/>
        <v>0.8</v>
      </c>
      <c r="P31" s="23">
        <f t="shared" si="7"/>
        <v>200000</v>
      </c>
      <c r="Q31" s="1"/>
    </row>
    <row r="32" spans="1:17" x14ac:dyDescent="0.25">
      <c r="B32" s="32">
        <v>300000</v>
      </c>
      <c r="C32" s="20" t="s">
        <v>22</v>
      </c>
      <c r="D32" s="17"/>
      <c r="E32" s="17"/>
      <c r="F32" s="17"/>
      <c r="G32" s="17">
        <v>60000</v>
      </c>
      <c r="H32" s="37">
        <v>30000</v>
      </c>
      <c r="I32" s="37">
        <v>30000</v>
      </c>
      <c r="J32" s="37">
        <v>30000</v>
      </c>
      <c r="K32" s="37">
        <v>80000</v>
      </c>
      <c r="L32" s="37">
        <f>60000+70000</f>
        <v>130000</v>
      </c>
      <c r="M32" s="37">
        <v>30000</v>
      </c>
      <c r="N32" s="17">
        <f t="shared" si="8"/>
        <v>390000</v>
      </c>
      <c r="O32" s="49">
        <f t="shared" si="2"/>
        <v>1.3</v>
      </c>
      <c r="P32" s="23">
        <f t="shared" si="7"/>
        <v>-90000</v>
      </c>
      <c r="Q32" s="1"/>
    </row>
    <row r="33" spans="2:17" x14ac:dyDescent="0.25">
      <c r="B33" s="32">
        <v>1192000</v>
      </c>
      <c r="C33" s="20" t="s">
        <v>23</v>
      </c>
      <c r="D33" s="17"/>
      <c r="E33" s="17"/>
      <c r="F33" s="17"/>
      <c r="G33" s="17">
        <v>1192000</v>
      </c>
      <c r="H33" s="37"/>
      <c r="I33" s="37"/>
      <c r="J33" s="37"/>
      <c r="K33" s="37"/>
      <c r="L33" s="37">
        <v>320000</v>
      </c>
      <c r="M33" s="37">
        <v>0</v>
      </c>
      <c r="N33" s="17">
        <f t="shared" si="8"/>
        <v>1512000</v>
      </c>
      <c r="O33" s="49">
        <f t="shared" si="2"/>
        <v>1.2684563758389262</v>
      </c>
      <c r="P33" s="23">
        <f t="shared" si="7"/>
        <v>-320000</v>
      </c>
      <c r="Q33" s="1"/>
    </row>
    <row r="34" spans="2:17" x14ac:dyDescent="0.25">
      <c r="B34" s="32">
        <v>0</v>
      </c>
      <c r="C34" s="20" t="s">
        <v>48</v>
      </c>
      <c r="D34" s="17"/>
      <c r="E34" s="17"/>
      <c r="F34" s="17"/>
      <c r="G34" s="17"/>
      <c r="H34" s="37"/>
      <c r="I34" s="37"/>
      <c r="J34" s="37"/>
      <c r="K34" s="37">
        <f>260000+28880+56000+40000</f>
        <v>384880</v>
      </c>
      <c r="L34" s="37">
        <f>28500+218000</f>
        <v>246500</v>
      </c>
      <c r="M34" s="37">
        <v>31500</v>
      </c>
      <c r="N34" s="17">
        <f t="shared" si="8"/>
        <v>662880</v>
      </c>
      <c r="O34" s="49" t="s">
        <v>12</v>
      </c>
      <c r="P34" s="23">
        <f t="shared" ref="P34" si="9">+B34-N34</f>
        <v>-662880</v>
      </c>
      <c r="Q34" s="1"/>
    </row>
    <row r="35" spans="2:17" x14ac:dyDescent="0.25">
      <c r="B35" s="33">
        <v>318781</v>
      </c>
      <c r="C35" s="18" t="s">
        <v>24</v>
      </c>
      <c r="D35" s="21" t="s">
        <v>12</v>
      </c>
      <c r="E35" s="21" t="s">
        <v>12</v>
      </c>
      <c r="F35" s="21" t="s">
        <v>12</v>
      </c>
      <c r="G35" s="21">
        <v>279981</v>
      </c>
      <c r="H35" s="38">
        <v>38800</v>
      </c>
      <c r="I35" s="38">
        <v>0</v>
      </c>
      <c r="J35" s="38">
        <f>442404+208000</f>
        <v>650404</v>
      </c>
      <c r="K35" s="38">
        <f>9430+150000+88000+70004+42400+75000</f>
        <v>434834</v>
      </c>
      <c r="L35" s="38">
        <v>0</v>
      </c>
      <c r="M35" s="38">
        <v>47500</v>
      </c>
      <c r="N35" s="21">
        <f t="shared" si="8"/>
        <v>1451519</v>
      </c>
      <c r="O35" s="50">
        <f t="shared" si="2"/>
        <v>4.5533422631838159</v>
      </c>
      <c r="P35" s="34">
        <f t="shared" si="7"/>
        <v>-1132738</v>
      </c>
      <c r="Q35" s="1"/>
    </row>
    <row r="36" spans="2:17" ht="15.75" thickBot="1" x14ac:dyDescent="0.3">
      <c r="B36" s="13">
        <f>SUM(B24:B35)</f>
        <v>148566621</v>
      </c>
      <c r="C36" s="30" t="s">
        <v>17</v>
      </c>
      <c r="D36" s="15">
        <f>SUM(D24:D35)</f>
        <v>0</v>
      </c>
      <c r="E36" s="15">
        <f t="shared" ref="E36:N36" si="10">SUM(E24:E35)</f>
        <v>0</v>
      </c>
      <c r="F36" s="15">
        <f t="shared" si="10"/>
        <v>38439101</v>
      </c>
      <c r="G36" s="15">
        <f t="shared" si="10"/>
        <v>7756877</v>
      </c>
      <c r="H36" s="15">
        <f t="shared" si="10"/>
        <v>17385643</v>
      </c>
      <c r="I36" s="15">
        <f t="shared" si="10"/>
        <v>16878620</v>
      </c>
      <c r="J36" s="15">
        <f t="shared" si="10"/>
        <v>11882909</v>
      </c>
      <c r="K36" s="15">
        <f t="shared" ref="K36" si="11">SUM(K24:K35)</f>
        <v>11885413</v>
      </c>
      <c r="L36" s="15">
        <f t="shared" ref="L36" si="12">SUM(L24:L35)</f>
        <v>13826112</v>
      </c>
      <c r="M36" s="24">
        <f>SUM(M24:M35)</f>
        <v>13536786</v>
      </c>
      <c r="N36" s="24">
        <f t="shared" si="10"/>
        <v>131591461</v>
      </c>
      <c r="O36" s="25">
        <f t="shared" si="2"/>
        <v>0.88574041809835602</v>
      </c>
      <c r="P36" s="26">
        <f t="shared" si="7"/>
        <v>16975160</v>
      </c>
      <c r="Q36" s="1"/>
    </row>
    <row r="37" spans="2:17" ht="15.75" thickBo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ht="15.75" thickBot="1" x14ac:dyDescent="0.3">
      <c r="B38" s="52">
        <f>+B21-B36</f>
        <v>6772431</v>
      </c>
      <c r="C38" s="53" t="s">
        <v>26</v>
      </c>
      <c r="D38" s="3"/>
      <c r="E38" s="3"/>
      <c r="F38" s="4">
        <f>+D21+E21+F21-F36</f>
        <v>3001556</v>
      </c>
      <c r="G38" s="4">
        <f>+G21-G36</f>
        <v>7799841</v>
      </c>
      <c r="H38" s="4">
        <f>+H21-H36</f>
        <v>-3236939</v>
      </c>
      <c r="I38" s="4">
        <f t="shared" ref="I38:J38" si="13">+I21-I36</f>
        <v>-2610595</v>
      </c>
      <c r="J38" s="52">
        <f t="shared" si="13"/>
        <v>744552</v>
      </c>
      <c r="K38" s="52">
        <f t="shared" ref="K38" si="14">+K21-K36</f>
        <v>656055</v>
      </c>
      <c r="L38" s="52">
        <f t="shared" ref="L38:M38" si="15">+L21-L36</f>
        <v>-259132</v>
      </c>
      <c r="M38" s="52">
        <f t="shared" si="15"/>
        <v>302298</v>
      </c>
      <c r="N38" s="52">
        <f>+N21-N36</f>
        <v>6397636</v>
      </c>
      <c r="O38" s="60">
        <f t="shared" si="2"/>
        <v>0.94465872003716245</v>
      </c>
      <c r="P38" s="1"/>
      <c r="Q38" s="1"/>
    </row>
    <row r="39" spans="2:1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25">
      <c r="B41" s="61" t="s">
        <v>55</v>
      </c>
      <c r="C41" s="6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5">
      <c r="B43" s="62" t="s">
        <v>57</v>
      </c>
      <c r="C43" s="1"/>
      <c r="D43" s="1"/>
      <c r="E43" s="1"/>
      <c r="F43" s="1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5">
      <c r="B44" s="1" t="s">
        <v>56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5">
      <c r="B46" s="62" t="s">
        <v>59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25">
      <c r="B47" s="62" t="s">
        <v>60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25">
      <c r="B49" s="62" t="s">
        <v>58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5">
      <c r="B50" s="62" t="s">
        <v>62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25">
      <c r="B51" s="62" t="s">
        <v>61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</sheetData>
  <mergeCells count="1">
    <mergeCell ref="B3:P3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Acumulado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 Corriente 671</dc:title>
  <dc:subject>Cuenta Corriente 671</dc:subject>
  <dc:creator>2080Sys</dc:creator>
  <dc:description>Cuenta Corriente 671</dc:description>
  <cp:lastModifiedBy>Patricia Ruiz</cp:lastModifiedBy>
  <dcterms:created xsi:type="dcterms:W3CDTF">2015-05-12T14:42:48Z</dcterms:created>
  <dcterms:modified xsi:type="dcterms:W3CDTF">2015-11-23T12:20:49Z</dcterms:modified>
</cp:coreProperties>
</file>